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Лист1!$A$1:$I$43</definedName>
  </definedNames>
  <calcPr calcId="145621" refMode="R1C1"/>
</workbook>
</file>

<file path=xl/calcChain.xml><?xml version="1.0" encoding="utf-8"?>
<calcChain xmlns="http://schemas.openxmlformats.org/spreadsheetml/2006/main">
  <c r="G9" i="1" l="1"/>
  <c r="F9" i="1"/>
  <c r="E9" i="1"/>
  <c r="G8" i="1"/>
  <c r="F8" i="1"/>
  <c r="E8" i="1"/>
  <c r="G10" i="1"/>
  <c r="F10" i="1"/>
  <c r="E10" i="1"/>
  <c r="G12" i="1"/>
  <c r="F12" i="1"/>
  <c r="E12" i="1"/>
  <c r="G38" i="1"/>
  <c r="F38" i="1"/>
  <c r="E38" i="1"/>
  <c r="G35" i="1"/>
  <c r="F35" i="1"/>
  <c r="E35" i="1"/>
  <c r="G33" i="1"/>
  <c r="F33" i="1"/>
  <c r="E33" i="1"/>
  <c r="G32" i="1"/>
  <c r="F32" i="1"/>
  <c r="E32" i="1"/>
  <c r="G29" i="1"/>
  <c r="F29" i="1"/>
  <c r="E29" i="1"/>
  <c r="G19" i="1"/>
  <c r="F19" i="1"/>
  <c r="E19" i="1"/>
  <c r="G18" i="1"/>
  <c r="F18" i="1"/>
  <c r="E18" i="1"/>
  <c r="G21" i="1"/>
  <c r="F21" i="1"/>
  <c r="E21" i="1"/>
  <c r="G25" i="1"/>
  <c r="F25" i="1"/>
  <c r="E25" i="1"/>
  <c r="G26" i="1"/>
  <c r="F26" i="1"/>
  <c r="E26" i="1"/>
  <c r="F24" i="1"/>
  <c r="E24" i="1"/>
  <c r="E23" i="1"/>
  <c r="G6" i="1"/>
  <c r="F6" i="1"/>
  <c r="E6" i="1"/>
  <c r="G7" i="1"/>
  <c r="F7" i="1"/>
  <c r="E7" i="1"/>
  <c r="G16" i="1"/>
  <c r="E16" i="1"/>
  <c r="F16" i="1"/>
  <c r="G14" i="1"/>
  <c r="F14" i="1"/>
  <c r="E14" i="1"/>
  <c r="G31" i="1"/>
  <c r="F31" i="1"/>
  <c r="E31" i="1"/>
  <c r="G37" i="1"/>
  <c r="F37" i="1"/>
  <c r="E37" i="1"/>
  <c r="G11" i="1"/>
  <c r="F11" i="1"/>
  <c r="E11" i="1"/>
  <c r="G27" i="1"/>
  <c r="F27" i="1"/>
  <c r="E27" i="1"/>
  <c r="G34" i="1"/>
  <c r="F34" i="1"/>
  <c r="E34" i="1"/>
  <c r="H43" i="1"/>
  <c r="I43" i="1" s="1"/>
  <c r="H42" i="1"/>
  <c r="I42" i="1" s="1"/>
  <c r="A43" i="1"/>
  <c r="G15" i="1"/>
  <c r="F15" i="1"/>
  <c r="E15" i="1"/>
  <c r="A39" i="1" l="1"/>
  <c r="A40" i="1" s="1"/>
  <c r="A28" i="1"/>
  <c r="A29" i="1" s="1"/>
  <c r="A30" i="1" s="1"/>
  <c r="A31" i="1" s="1"/>
  <c r="A32" i="1" s="1"/>
  <c r="A33" i="1" s="1"/>
  <c r="A34" i="1" s="1"/>
  <c r="A35" i="1" s="1"/>
  <c r="A21" i="1"/>
  <c r="A7" i="1"/>
  <c r="A8" i="1" s="1"/>
  <c r="H41" i="1" l="1"/>
  <c r="I41" i="1" s="1"/>
  <c r="H40" i="1"/>
  <c r="I40" i="1" s="1"/>
  <c r="H39" i="1"/>
  <c r="I39" i="1" s="1"/>
  <c r="H36" i="1"/>
  <c r="I36" i="1" s="1"/>
  <c r="H35" i="1"/>
  <c r="I35" i="1" s="1"/>
  <c r="H28" i="1"/>
  <c r="I28" i="1" s="1"/>
  <c r="H27" i="1"/>
  <c r="I27" i="1" s="1"/>
  <c r="H38" i="1"/>
  <c r="I38" i="1" s="1"/>
  <c r="H37" i="1"/>
  <c r="I37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9" i="1"/>
  <c r="I9" i="1" s="1"/>
  <c r="H8" i="1"/>
  <c r="I8" i="1" s="1"/>
  <c r="H10" i="1"/>
  <c r="I10" i="1" s="1"/>
  <c r="H7" i="1"/>
  <c r="I7" i="1" s="1"/>
  <c r="H6" i="1" l="1"/>
  <c r="I6" i="1" s="1"/>
</calcChain>
</file>

<file path=xl/sharedStrings.xml><?xml version="1.0" encoding="utf-8"?>
<sst xmlns="http://schemas.openxmlformats.org/spreadsheetml/2006/main" count="72" uniqueCount="72">
  <si>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</si>
  <si>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</si>
  <si>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</si>
  <si>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</si>
  <si>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</si>
  <si>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</si>
  <si>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</si>
  <si>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</si>
  <si>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</si>
  <si>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</si>
  <si>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</si>
  <si>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Курумоченский участок замер 2020г.</t>
  </si>
  <si>
    <t>Быт,ул.Мира 1,2,3,4,5 ул.Жигулёвская 1,2,3,4,5 магазин,,детсад,улич.освещение.</t>
  </si>
  <si>
    <t>Быт ( п. Ленина 22,24,26,28,30. ул.Мира 7</t>
  </si>
  <si>
    <t xml:space="preserve">ул.Гаражная.Пожарка,дачный  массив у фабричного гаража левая  сторона. </t>
  </si>
  <si>
    <t>Котельная ,холодное  водоснабжение с.Курумоч, КНС-1.</t>
  </si>
  <si>
    <t xml:space="preserve">с. Курумоч  частный  сектор,ДК Жигули  </t>
  </si>
  <si>
    <t>Школа новая,частный сектор</t>
  </si>
  <si>
    <t>Больница,уличное  освещение, частный  сектор.</t>
  </si>
  <si>
    <t>Водозабор с.Курумоч-2 подъём</t>
  </si>
  <si>
    <t>Многоквартирные  дома,частный сектор.</t>
  </si>
  <si>
    <t>Пром база МУП ЖКХ,КНС2, дачный массив в районе очистных ,АЗС.</t>
  </si>
  <si>
    <t>Жгиз,частный  сектор,турбаза</t>
  </si>
  <si>
    <t>КНС-2</t>
  </si>
  <si>
    <t>Дачный  массив  правая  сторона</t>
  </si>
  <si>
    <t>Коттеджный  посёлок  Мастрюки</t>
  </si>
  <si>
    <t>КТП КУР 1621/400</t>
  </si>
  <si>
    <t>Власть  Труда ул Новая,уличное  освещение,дачи</t>
  </si>
  <si>
    <t>Власть  Труда  частная  застройка .</t>
  </si>
  <si>
    <t>СТ.Барское коттеджный  посёлок</t>
  </si>
  <si>
    <t>Площадка  Мастрюки 2 площадка.  Промбаза.</t>
  </si>
  <si>
    <t xml:space="preserve">Водозабор   п.Власть Труда. С.Курумоч </t>
  </si>
  <si>
    <t xml:space="preserve">Детский лагерь Волжанин </t>
  </si>
  <si>
    <t xml:space="preserve">К.П. Мастрюки </t>
  </si>
  <si>
    <t xml:space="preserve">СТ Железнодорожник </t>
  </si>
  <si>
    <t>Медсклад.</t>
  </si>
  <si>
    <t>Администрация,2 этажные  дома,киоски.магазины</t>
  </si>
  <si>
    <t>Быт(пр.Ленина  31,32,32а,34,36 ) почта, сбербанк, АТС,ул.освещение</t>
  </si>
  <si>
    <t>Школа старая. детсад. многоэтажки. частный сектор</t>
  </si>
  <si>
    <t>Многоквартирные дома. Пр. Ленина 29,33,35,37. спотркомплекс ,уличное  освещение</t>
  </si>
  <si>
    <t>Частный  сектор ул. Вишнёвая, Фабричная, Ягодная, Абрикосовая, Волжская, Крайняя</t>
  </si>
  <si>
    <t>ЗТП КУР 2001</t>
  </si>
  <si>
    <t>ЗТП КУР 901</t>
  </si>
  <si>
    <t>ЗТП КУР 2003</t>
  </si>
  <si>
    <t>ЗТП КУР 2004</t>
  </si>
  <si>
    <t>ЗТП  КУР 904</t>
  </si>
  <si>
    <t>ЗТП КУР 2005</t>
  </si>
  <si>
    <t>ЗТП КУР 905</t>
  </si>
  <si>
    <t>ЗТП КУР 906</t>
  </si>
  <si>
    <t>ЗТП КУР 2009</t>
  </si>
  <si>
    <t>КТП КУР 2010</t>
  </si>
  <si>
    <t>ЗТП КУР 1211/250( РУ 0,4 КВ АО ССК)</t>
  </si>
  <si>
    <t>ЗТП КУР 2012</t>
  </si>
  <si>
    <t>КТП КУР 2013</t>
  </si>
  <si>
    <t>ЗТП КУР  927</t>
  </si>
  <si>
    <t>КТП КУР 1204</t>
  </si>
  <si>
    <t>КТП КУР 2018</t>
  </si>
  <si>
    <t>КТП КУР 2019</t>
  </si>
  <si>
    <t>КТП КУР 936</t>
  </si>
  <si>
    <t>КТП КУР 1620</t>
  </si>
  <si>
    <t>КТП КУР 1622</t>
  </si>
  <si>
    <t>КТП КУР 1223</t>
  </si>
  <si>
    <t>КТП КУР 1614</t>
  </si>
  <si>
    <t>ЗТП КУР 1203</t>
  </si>
  <si>
    <t>КТП КУР 1213</t>
  </si>
  <si>
    <t>КТП КУР 1623</t>
  </si>
  <si>
    <t>КТП КУР 1624</t>
  </si>
  <si>
    <t>ЗТП КУР 914</t>
  </si>
  <si>
    <t>КТП КУР 935/25</t>
  </si>
  <si>
    <t>АЗС  Газпром</t>
  </si>
  <si>
    <t>КТП КУР 2023/250</t>
  </si>
  <si>
    <t>Детсад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</si>
</sst>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/>
    </xf>
    <xf numFmtId="0" fontId="4" fillId="4" borderId="1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4" borderId="10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4" borderId="10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BreakPreview" topLeftCell="A13" zoomScaleNormal="100" zoomScaleSheetLayoutView="100" workbookViewId="0">
      <selection activeCell="D14" sqref="D14"/>
    </sheetView>
  </sheetViews>
  <sheetFormatPr defaultRowHeight="15" x14ac:dyDescent="0.25"/>
  <cols>
    <col min="1" max="1" width="6.5703125" style="3" customWidth="1"/>
    <col min="2" max="2" width="18.28515625" style="4" customWidth="1"/>
    <col min="3" max="3" width="10.5703125" style="2" customWidth="1"/>
    <col min="4" max="4" width="34.85546875" style="5" customWidth="1"/>
    <col min="5" max="5" width="7.28515625" style="2" customWidth="1"/>
    <col min="6" max="6" width="7" style="2" customWidth="1"/>
    <col min="7" max="7" width="6.7109375" style="2" customWidth="1"/>
    <col min="8" max="8" width="8" style="3" bestFit="1" customWidth="1"/>
    <col min="9" max="9" width="9.42578125" style="2" customWidth="1"/>
  </cols>
  <sheetData>
    <row r="1" spans="1:9" ht="18" customHeight="1" x14ac:dyDescent="0.25">
      <c r="A1" s="40" t="s">
        <v>11</v>
      </c>
      <c r="B1" s="41"/>
      <c r="C1" s="41"/>
      <c r="D1" s="41"/>
      <c r="E1" s="41"/>
      <c r="F1" s="41"/>
      <c r="G1" s="41"/>
      <c r="H1" s="41"/>
      <c r="I1" s="42"/>
    </row>
    <row r="2" spans="1:9" ht="18.75" customHeight="1" x14ac:dyDescent="0.25">
      <c r="A2" s="43"/>
      <c r="B2" s="44"/>
      <c r="C2" s="44"/>
      <c r="D2" s="44"/>
      <c r="E2" s="44"/>
      <c r="F2" s="44"/>
      <c r="G2" s="44"/>
      <c r="H2" s="44"/>
      <c r="I2" s="45"/>
    </row>
    <row r="3" spans="1:9" ht="15" customHeight="1" x14ac:dyDescent="0.25">
      <c r="A3" s="39" t="s">
        <v>0</v>
      </c>
      <c r="B3" s="38" t="s">
        <v>1</v>
      </c>
      <c r="C3" s="38" t="s">
        <v>2</v>
      </c>
      <c r="D3" s="51" t="s">
        <v>3</v>
      </c>
      <c r="E3" s="50" t="s">
        <v>4</v>
      </c>
      <c r="F3" s="50"/>
      <c r="G3" s="50"/>
      <c r="H3" s="50"/>
      <c r="I3" s="50"/>
    </row>
    <row r="4" spans="1:9" x14ac:dyDescent="0.25">
      <c r="A4" s="39"/>
      <c r="B4" s="38"/>
      <c r="C4" s="38"/>
      <c r="D4" s="52"/>
      <c r="E4" s="39" t="s">
        <v>5</v>
      </c>
      <c r="F4" s="39"/>
      <c r="G4" s="39"/>
      <c r="H4" s="39" t="s">
        <v>9</v>
      </c>
      <c r="I4" s="39" t="s">
        <v>10</v>
      </c>
    </row>
    <row r="5" spans="1:9" x14ac:dyDescent="0.25">
      <c r="A5" s="39"/>
      <c r="B5" s="38"/>
      <c r="C5" s="38"/>
      <c r="D5" s="53"/>
      <c r="E5" s="7" t="s">
        <v>6</v>
      </c>
      <c r="F5" s="7" t="s">
        <v>7</v>
      </c>
      <c r="G5" s="7" t="s">
        <v>8</v>
      </c>
      <c r="H5" s="39"/>
      <c r="I5" s="39"/>
    </row>
    <row r="6" spans="1:9" s="1" customFormat="1" ht="30.75" customHeight="1" x14ac:dyDescent="0.25">
      <c r="A6" s="15">
        <v>1</v>
      </c>
      <c r="B6" s="16" t="s">
        <v>41</v>
      </c>
      <c r="C6" s="17">
        <v>250</v>
      </c>
      <c r="D6" s="16" t="s">
        <v>37</v>
      </c>
      <c r="E6" s="8">
        <f>31+17+11+31</f>
        <v>90</v>
      </c>
      <c r="F6" s="8">
        <f>18+14+20+25</f>
        <v>77</v>
      </c>
      <c r="G6" s="8">
        <f>15+22+10+12</f>
        <v>59</v>
      </c>
      <c r="H6" s="9">
        <f t="shared" ref="H6:H13" si="0">(E6+F6+G6)/3*0.38*1.73</f>
        <v>49.524133333333332</v>
      </c>
      <c r="I6" s="9">
        <f>H6/C6*100</f>
        <v>19.809653333333333</v>
      </c>
    </row>
    <row r="7" spans="1:9" s="1" customFormat="1" ht="27" customHeight="1" x14ac:dyDescent="0.25">
      <c r="A7" s="15">
        <f>1+A6</f>
        <v>2</v>
      </c>
      <c r="B7" s="16" t="s">
        <v>42</v>
      </c>
      <c r="C7" s="18">
        <v>250</v>
      </c>
      <c r="D7" s="19" t="s">
        <v>12</v>
      </c>
      <c r="E7" s="8">
        <f>16+34+64</f>
        <v>114</v>
      </c>
      <c r="F7" s="8">
        <f>23+44+31</f>
        <v>98</v>
      </c>
      <c r="G7" s="8">
        <f>11+21+25</f>
        <v>57</v>
      </c>
      <c r="H7" s="9">
        <f t="shared" si="0"/>
        <v>58.946866666666672</v>
      </c>
      <c r="I7" s="9">
        <f t="shared" ref="I7:I13" si="1">H7/C7*100</f>
        <v>23.578746666666671</v>
      </c>
    </row>
    <row r="8" spans="1:9" s="1" customFormat="1" ht="30" x14ac:dyDescent="0.25">
      <c r="A8" s="46">
        <f t="shared" ref="A8:A40" si="2">1+A7</f>
        <v>3</v>
      </c>
      <c r="B8" s="48" t="s">
        <v>43</v>
      </c>
      <c r="C8" s="17">
        <v>400</v>
      </c>
      <c r="D8" s="19" t="s">
        <v>13</v>
      </c>
      <c r="E8" s="8">
        <f>26+38</f>
        <v>64</v>
      </c>
      <c r="F8" s="8">
        <f>13+26</f>
        <v>39</v>
      </c>
      <c r="G8" s="8">
        <f>15+20</f>
        <v>35</v>
      </c>
      <c r="H8" s="9">
        <f t="shared" si="0"/>
        <v>30.240400000000001</v>
      </c>
      <c r="I8" s="9">
        <f t="shared" si="1"/>
        <v>7.5601000000000003</v>
      </c>
    </row>
    <row r="9" spans="1:9" s="1" customFormat="1" x14ac:dyDescent="0.25">
      <c r="A9" s="47"/>
      <c r="B9" s="49"/>
      <c r="C9" s="20">
        <v>400</v>
      </c>
      <c r="D9" s="21"/>
      <c r="E9" s="8">
        <f>19+10+24</f>
        <v>53</v>
      </c>
      <c r="F9" s="8">
        <f>25+32+27</f>
        <v>84</v>
      </c>
      <c r="G9" s="8">
        <f>17+9+23</f>
        <v>49</v>
      </c>
      <c r="H9" s="9">
        <f t="shared" si="0"/>
        <v>40.758800000000001</v>
      </c>
      <c r="I9" s="9">
        <f t="shared" si="1"/>
        <v>10.1897</v>
      </c>
    </row>
    <row r="10" spans="1:9" s="1" customFormat="1" ht="27" customHeight="1" x14ac:dyDescent="0.25">
      <c r="A10" s="15">
        <v>4</v>
      </c>
      <c r="B10" s="16" t="s">
        <v>44</v>
      </c>
      <c r="C10" s="17">
        <v>160</v>
      </c>
      <c r="D10" s="16" t="s">
        <v>36</v>
      </c>
      <c r="E10" s="8">
        <f>106+21+16+5+3</f>
        <v>151</v>
      </c>
      <c r="F10" s="8">
        <f>85+18+14+7+8</f>
        <v>132</v>
      </c>
      <c r="G10" s="8">
        <f>89+33+13+4+2</f>
        <v>141</v>
      </c>
      <c r="H10" s="9">
        <f t="shared" si="0"/>
        <v>92.912533333333343</v>
      </c>
      <c r="I10" s="9">
        <f t="shared" si="1"/>
        <v>58.070333333333338</v>
      </c>
    </row>
    <row r="11" spans="1:9" s="1" customFormat="1" ht="45" x14ac:dyDescent="0.25">
      <c r="A11" s="15">
        <v>5</v>
      </c>
      <c r="B11" s="16" t="s">
        <v>45</v>
      </c>
      <c r="C11" s="20">
        <v>250</v>
      </c>
      <c r="D11" s="22" t="s">
        <v>14</v>
      </c>
      <c r="E11" s="8">
        <f>15+38+160+65</f>
        <v>278</v>
      </c>
      <c r="F11" s="8">
        <f>60+24+35+158</f>
        <v>277</v>
      </c>
      <c r="G11" s="8">
        <f>75+25+21+93</f>
        <v>214</v>
      </c>
      <c r="H11" s="9">
        <f t="shared" si="0"/>
        <v>168.51353333333333</v>
      </c>
      <c r="I11" s="9">
        <f t="shared" si="1"/>
        <v>67.405413333333328</v>
      </c>
    </row>
    <row r="12" spans="1:9" s="1" customFormat="1" ht="30" x14ac:dyDescent="0.25">
      <c r="A12" s="46">
        <v>6</v>
      </c>
      <c r="B12" s="48" t="s">
        <v>46</v>
      </c>
      <c r="C12" s="23">
        <v>630</v>
      </c>
      <c r="D12" s="19" t="s">
        <v>15</v>
      </c>
      <c r="E12" s="8">
        <f>112+8+56+114</f>
        <v>290</v>
      </c>
      <c r="F12" s="8">
        <f>111+9+61+107</f>
        <v>288</v>
      </c>
      <c r="G12" s="8">
        <f>110+8+53+113</f>
        <v>284</v>
      </c>
      <c r="H12" s="9">
        <f t="shared" si="0"/>
        <v>188.89293333333333</v>
      </c>
      <c r="I12" s="9">
        <f t="shared" si="1"/>
        <v>29.983005291005288</v>
      </c>
    </row>
    <row r="13" spans="1:9" s="1" customFormat="1" x14ac:dyDescent="0.25">
      <c r="A13" s="47"/>
      <c r="B13" s="49"/>
      <c r="C13" s="17">
        <v>630</v>
      </c>
      <c r="D13" s="21"/>
      <c r="E13" s="8">
        <v>100</v>
      </c>
      <c r="F13" s="8">
        <v>100</v>
      </c>
      <c r="G13" s="8">
        <v>100</v>
      </c>
      <c r="H13" s="9">
        <f t="shared" si="0"/>
        <v>65.739999999999995</v>
      </c>
      <c r="I13" s="9">
        <f t="shared" si="1"/>
        <v>10.434920634920635</v>
      </c>
    </row>
    <row r="14" spans="1:9" s="1" customFormat="1" ht="30" x14ac:dyDescent="0.25">
      <c r="A14" s="15">
        <v>7</v>
      </c>
      <c r="B14" s="16" t="s">
        <v>47</v>
      </c>
      <c r="C14" s="17">
        <v>400</v>
      </c>
      <c r="D14" s="16" t="s">
        <v>16</v>
      </c>
      <c r="E14" s="8">
        <f>8+8+38+32</f>
        <v>86</v>
      </c>
      <c r="F14" s="8">
        <f>17+34+28</f>
        <v>79</v>
      </c>
      <c r="G14" s="8">
        <f>15+13+14</f>
        <v>42</v>
      </c>
      <c r="H14" s="9">
        <f t="shared" ref="H14:H17" si="3">(E14+F14+G14)/3*0.38*1.73</f>
        <v>45.360599999999998</v>
      </c>
      <c r="I14" s="9">
        <f t="shared" ref="I14:I17" si="4">H14/C14*100</f>
        <v>11.34015</v>
      </c>
    </row>
    <row r="15" spans="1:9" s="6" customFormat="1" ht="30" x14ac:dyDescent="0.25">
      <c r="A15" s="15">
        <v>8</v>
      </c>
      <c r="B15" s="16" t="s">
        <v>48</v>
      </c>
      <c r="C15" s="17">
        <v>400</v>
      </c>
      <c r="D15" s="16" t="s">
        <v>38</v>
      </c>
      <c r="E15" s="11">
        <f>15+20+40+58</f>
        <v>133</v>
      </c>
      <c r="F15" s="11">
        <f>13+15+25+59</f>
        <v>112</v>
      </c>
      <c r="G15" s="11">
        <f>20+18+38+57</f>
        <v>133</v>
      </c>
      <c r="H15" s="12">
        <f t="shared" si="3"/>
        <v>82.832400000000007</v>
      </c>
      <c r="I15" s="12">
        <f t="shared" si="4"/>
        <v>20.708100000000002</v>
      </c>
    </row>
    <row r="16" spans="1:9" s="1" customFormat="1" x14ac:dyDescent="0.25">
      <c r="A16" s="46">
        <v>9</v>
      </c>
      <c r="B16" s="48" t="s">
        <v>49</v>
      </c>
      <c r="C16" s="23">
        <v>160</v>
      </c>
      <c r="D16" s="19" t="s">
        <v>17</v>
      </c>
      <c r="E16" s="8">
        <f>70+98</f>
        <v>168</v>
      </c>
      <c r="F16" s="8">
        <f>60+70</f>
        <v>130</v>
      </c>
      <c r="G16" s="8">
        <f>33+83</f>
        <v>116</v>
      </c>
      <c r="H16" s="9">
        <f t="shared" si="3"/>
        <v>90.721199999999996</v>
      </c>
      <c r="I16" s="9">
        <f t="shared" si="4"/>
        <v>56.700749999999999</v>
      </c>
    </row>
    <row r="17" spans="1:9" s="1" customFormat="1" x14ac:dyDescent="0.25">
      <c r="A17" s="47"/>
      <c r="B17" s="49"/>
      <c r="C17" s="24">
        <v>250</v>
      </c>
      <c r="D17" s="25"/>
      <c r="E17" s="8">
        <v>20</v>
      </c>
      <c r="F17" s="8">
        <v>37</v>
      </c>
      <c r="G17" s="8">
        <v>23</v>
      </c>
      <c r="H17" s="9">
        <f t="shared" si="3"/>
        <v>17.530666666666669</v>
      </c>
      <c r="I17" s="9">
        <f t="shared" si="4"/>
        <v>7.012266666666668</v>
      </c>
    </row>
    <row r="18" spans="1:9" s="1" customFormat="1" ht="30" x14ac:dyDescent="0.25">
      <c r="A18" s="46">
        <v>10</v>
      </c>
      <c r="B18" s="48" t="s">
        <v>50</v>
      </c>
      <c r="C18" s="17">
        <v>400</v>
      </c>
      <c r="D18" s="19" t="s">
        <v>18</v>
      </c>
      <c r="E18" s="8">
        <f>17+16+1</f>
        <v>34</v>
      </c>
      <c r="F18" s="8">
        <f>42</f>
        <v>42</v>
      </c>
      <c r="G18" s="8">
        <f>8+2+2</f>
        <v>12</v>
      </c>
      <c r="H18" s="9">
        <f t="shared" ref="H18:H19" si="5">(E18+F18+G18)/3*0.38*1.73</f>
        <v>19.283733333333334</v>
      </c>
      <c r="I18" s="9">
        <f t="shared" ref="I18:I19" si="6">H18/C18*100</f>
        <v>4.8209333333333335</v>
      </c>
    </row>
    <row r="19" spans="1:9" s="1" customFormat="1" x14ac:dyDescent="0.25">
      <c r="A19" s="47"/>
      <c r="B19" s="49"/>
      <c r="C19" s="20">
        <v>400</v>
      </c>
      <c r="D19" s="21"/>
      <c r="E19" s="8">
        <f>38+82+20</f>
        <v>140</v>
      </c>
      <c r="F19" s="8">
        <f>42+3+49</f>
        <v>94</v>
      </c>
      <c r="G19" s="8">
        <f>30+21+38</f>
        <v>89</v>
      </c>
      <c r="H19" s="9">
        <f t="shared" si="5"/>
        <v>70.78006666666667</v>
      </c>
      <c r="I19" s="9">
        <f t="shared" si="6"/>
        <v>17.695016666666668</v>
      </c>
    </row>
    <row r="20" spans="1:9" s="6" customFormat="1" ht="45" x14ac:dyDescent="0.25">
      <c r="A20" s="15">
        <v>11</v>
      </c>
      <c r="B20" s="16" t="s">
        <v>51</v>
      </c>
      <c r="C20" s="17">
        <v>250</v>
      </c>
      <c r="D20" s="26" t="s">
        <v>19</v>
      </c>
      <c r="E20" s="11">
        <v>100</v>
      </c>
      <c r="F20" s="11">
        <v>100</v>
      </c>
      <c r="G20" s="11">
        <v>109</v>
      </c>
      <c r="H20" s="12">
        <f t="shared" ref="H20" si="7">(E20+F20+G20)/3*0.38*1.73</f>
        <v>67.712199999999996</v>
      </c>
      <c r="I20" s="12">
        <f t="shared" ref="I20" si="8">H20/C20*100</f>
        <v>27.084879999999998</v>
      </c>
    </row>
    <row r="21" spans="1:9" s="1" customFormat="1" ht="30" x14ac:dyDescent="0.25">
      <c r="A21" s="46">
        <f t="shared" si="2"/>
        <v>12</v>
      </c>
      <c r="B21" s="48" t="s">
        <v>52</v>
      </c>
      <c r="C21" s="23">
        <v>250</v>
      </c>
      <c r="D21" s="19" t="s">
        <v>20</v>
      </c>
      <c r="E21" s="8">
        <f>25+31</f>
        <v>56</v>
      </c>
      <c r="F21" s="8">
        <f>26+29</f>
        <v>55</v>
      </c>
      <c r="G21" s="8">
        <f>21+25</f>
        <v>46</v>
      </c>
      <c r="H21" s="9">
        <f t="shared" ref="H21" si="9">(E21+F21+G21)/3*0.38*1.73</f>
        <v>34.403933333333335</v>
      </c>
      <c r="I21" s="9">
        <f t="shared" ref="I21" si="10">H21/C21*100</f>
        <v>13.761573333333335</v>
      </c>
    </row>
    <row r="22" spans="1:9" s="1" customFormat="1" x14ac:dyDescent="0.25">
      <c r="A22" s="47"/>
      <c r="B22" s="49"/>
      <c r="C22" s="24">
        <v>250</v>
      </c>
      <c r="D22" s="25"/>
      <c r="E22" s="8">
        <v>96</v>
      </c>
      <c r="F22" s="8">
        <v>66</v>
      </c>
      <c r="G22" s="8">
        <v>90</v>
      </c>
      <c r="H22" s="9">
        <f t="shared" ref="H22" si="11">(E22+F22+G22)/3*0.38*1.73</f>
        <v>55.221600000000002</v>
      </c>
      <c r="I22" s="9">
        <f t="shared" ref="I22" si="12">H22/C22*100</f>
        <v>22.088640000000002</v>
      </c>
    </row>
    <row r="23" spans="1:9" s="1" customFormat="1" ht="45" x14ac:dyDescent="0.25">
      <c r="A23" s="46">
        <v>13</v>
      </c>
      <c r="B23" s="48" t="s">
        <v>53</v>
      </c>
      <c r="C23" s="23">
        <v>250</v>
      </c>
      <c r="D23" s="19" t="s">
        <v>21</v>
      </c>
      <c r="E23" s="8">
        <f>44</f>
        <v>44</v>
      </c>
      <c r="F23" s="8">
        <v>38</v>
      </c>
      <c r="G23" s="8">
        <v>20</v>
      </c>
      <c r="H23" s="9">
        <f t="shared" ref="H23" si="13">(E23+F23+G23)/3*0.38*1.73</f>
        <v>22.351600000000001</v>
      </c>
      <c r="I23" s="9">
        <f t="shared" ref="I23" si="14">H23/C23*100</f>
        <v>8.9406400000000019</v>
      </c>
    </row>
    <row r="24" spans="1:9" s="1" customFormat="1" x14ac:dyDescent="0.25">
      <c r="A24" s="47"/>
      <c r="B24" s="49"/>
      <c r="C24" s="24">
        <v>400</v>
      </c>
      <c r="D24" s="25"/>
      <c r="E24" s="8">
        <f>5+47+22+2+31</f>
        <v>107</v>
      </c>
      <c r="F24" s="8">
        <f>1+57+16+46</f>
        <v>120</v>
      </c>
      <c r="G24" s="8"/>
      <c r="H24" s="9">
        <f t="shared" ref="H24" si="15">(E24+F24+G24)/3*0.38*1.73</f>
        <v>49.743266666666671</v>
      </c>
      <c r="I24" s="9">
        <f t="shared" ref="I24" si="16">H24/C24*100</f>
        <v>12.435816666666668</v>
      </c>
    </row>
    <row r="25" spans="1:9" s="1" customFormat="1" ht="45" x14ac:dyDescent="0.25">
      <c r="A25" s="46">
        <v>14</v>
      </c>
      <c r="B25" s="48" t="s">
        <v>54</v>
      </c>
      <c r="C25" s="23">
        <v>400</v>
      </c>
      <c r="D25" s="19" t="s">
        <v>39</v>
      </c>
      <c r="E25" s="8">
        <f>13</f>
        <v>13</v>
      </c>
      <c r="F25" s="8">
        <f>15+9</f>
        <v>24</v>
      </c>
      <c r="G25" s="8">
        <f>8+4</f>
        <v>12</v>
      </c>
      <c r="H25" s="9">
        <f t="shared" ref="H25:H28" si="17">(E25+F25+G25)/3*0.38*1.73</f>
        <v>10.737533333333332</v>
      </c>
      <c r="I25" s="9">
        <f t="shared" ref="I25:I28" si="18">H25/C25*100</f>
        <v>2.6843833333333329</v>
      </c>
    </row>
    <row r="26" spans="1:9" s="1" customFormat="1" x14ac:dyDescent="0.25">
      <c r="A26" s="47"/>
      <c r="B26" s="49"/>
      <c r="C26" s="24">
        <v>400</v>
      </c>
      <c r="D26" s="21"/>
      <c r="E26" s="8">
        <f>89+30+54</f>
        <v>173</v>
      </c>
      <c r="F26" s="8">
        <f>72+26+36</f>
        <v>134</v>
      </c>
      <c r="G26" s="8">
        <f>91+35+70</f>
        <v>196</v>
      </c>
      <c r="H26" s="9">
        <f t="shared" si="17"/>
        <v>110.22406666666666</v>
      </c>
      <c r="I26" s="9">
        <f t="shared" si="18"/>
        <v>27.556016666666665</v>
      </c>
    </row>
    <row r="27" spans="1:9" s="1" customFormat="1" x14ac:dyDescent="0.25">
      <c r="A27" s="15">
        <v>15</v>
      </c>
      <c r="B27" s="16" t="s">
        <v>55</v>
      </c>
      <c r="C27" s="17">
        <v>250</v>
      </c>
      <c r="D27" s="22" t="s">
        <v>22</v>
      </c>
      <c r="E27" s="8">
        <f>2+4+4</f>
        <v>10</v>
      </c>
      <c r="F27" s="8">
        <f>23+1+3</f>
        <v>27</v>
      </c>
      <c r="G27" s="8">
        <f>2+4+1</f>
        <v>7</v>
      </c>
      <c r="H27" s="9">
        <f t="shared" si="17"/>
        <v>9.641866666666667</v>
      </c>
      <c r="I27" s="9">
        <f t="shared" si="18"/>
        <v>3.856746666666667</v>
      </c>
    </row>
    <row r="28" spans="1:9" s="1" customFormat="1" x14ac:dyDescent="0.25">
      <c r="A28" s="15">
        <f t="shared" si="2"/>
        <v>16</v>
      </c>
      <c r="B28" s="16" t="s">
        <v>56</v>
      </c>
      <c r="C28" s="17">
        <v>250</v>
      </c>
      <c r="D28" s="27" t="s">
        <v>23</v>
      </c>
      <c r="E28" s="8">
        <v>77</v>
      </c>
      <c r="F28" s="8">
        <v>78</v>
      </c>
      <c r="G28" s="8">
        <v>79</v>
      </c>
      <c r="H28" s="9">
        <f t="shared" si="17"/>
        <v>51.277200000000001</v>
      </c>
      <c r="I28" s="9">
        <f t="shared" si="18"/>
        <v>20.51088</v>
      </c>
    </row>
    <row r="29" spans="1:9" s="1" customFormat="1" ht="45" x14ac:dyDescent="0.25">
      <c r="A29" s="15">
        <f t="shared" si="2"/>
        <v>17</v>
      </c>
      <c r="B29" s="16" t="s">
        <v>57</v>
      </c>
      <c r="C29" s="17">
        <v>400</v>
      </c>
      <c r="D29" s="16" t="s">
        <v>40</v>
      </c>
      <c r="E29" s="8">
        <f>52+72+19+36</f>
        <v>179</v>
      </c>
      <c r="F29" s="8">
        <f>85+60+38+43+4</f>
        <v>230</v>
      </c>
      <c r="G29" s="8">
        <f>80+79+37+53</f>
        <v>249</v>
      </c>
      <c r="H29" s="9">
        <f t="shared" ref="H29" si="19">(E29+F29+G29)/3*0.38*1.73</f>
        <v>144.18973333333335</v>
      </c>
      <c r="I29" s="9">
        <f t="shared" ref="I29" si="20">H29/C29*100</f>
        <v>36.047433333333338</v>
      </c>
    </row>
    <row r="30" spans="1:9" s="1" customFormat="1" x14ac:dyDescent="0.25">
      <c r="A30" s="15">
        <f t="shared" si="2"/>
        <v>18</v>
      </c>
      <c r="B30" s="16" t="s">
        <v>58</v>
      </c>
      <c r="C30" s="17">
        <v>100</v>
      </c>
      <c r="D30" s="16" t="s">
        <v>24</v>
      </c>
      <c r="E30" s="8"/>
      <c r="F30" s="8"/>
      <c r="G30" s="8"/>
      <c r="H30" s="9">
        <f t="shared" ref="H30" si="21">(E30+F30+G30)/3*0.38*1.73</f>
        <v>0</v>
      </c>
      <c r="I30" s="9">
        <f t="shared" ref="I30" si="22">H30/C30*100</f>
        <v>0</v>
      </c>
    </row>
    <row r="31" spans="1:9" s="1" customFormat="1" ht="19.5" customHeight="1" x14ac:dyDescent="0.25">
      <c r="A31" s="15">
        <f t="shared" si="2"/>
        <v>19</v>
      </c>
      <c r="B31" s="16" t="s">
        <v>59</v>
      </c>
      <c r="C31" s="17">
        <v>400</v>
      </c>
      <c r="D31" s="16" t="s">
        <v>25</v>
      </c>
      <c r="E31" s="8">
        <f>74+48+14</f>
        <v>136</v>
      </c>
      <c r="F31" s="8">
        <f>40+29+7</f>
        <v>76</v>
      </c>
      <c r="G31" s="8">
        <f>96+45+14</f>
        <v>155</v>
      </c>
      <c r="H31" s="9">
        <f t="shared" ref="H31" si="23">(E31+F31+G31)/3*0.38*1.73</f>
        <v>80.421933333333328</v>
      </c>
      <c r="I31" s="9">
        <f t="shared" ref="I31" si="24">H31/C31*100</f>
        <v>20.105483333333332</v>
      </c>
    </row>
    <row r="32" spans="1:9" s="1" customFormat="1" ht="30" x14ac:dyDescent="0.25">
      <c r="A32" s="15">
        <f t="shared" si="2"/>
        <v>20</v>
      </c>
      <c r="B32" s="16" t="s">
        <v>26</v>
      </c>
      <c r="C32" s="17">
        <v>400</v>
      </c>
      <c r="D32" s="16" t="s">
        <v>27</v>
      </c>
      <c r="E32" s="8">
        <f>54+26</f>
        <v>80</v>
      </c>
      <c r="F32" s="8">
        <f>76+21</f>
        <v>97</v>
      </c>
      <c r="G32" s="8">
        <f>10+6</f>
        <v>16</v>
      </c>
      <c r="H32" s="9">
        <f t="shared" ref="H32" si="25">(E32+F32+G32)/3*0.38*1.73</f>
        <v>42.292733333333331</v>
      </c>
      <c r="I32" s="9">
        <f t="shared" ref="I32" si="26">H32/C32*100</f>
        <v>10.573183333333333</v>
      </c>
    </row>
    <row r="33" spans="1:9" s="1" customFormat="1" x14ac:dyDescent="0.25">
      <c r="A33" s="15">
        <f t="shared" si="2"/>
        <v>21</v>
      </c>
      <c r="B33" s="16" t="s">
        <v>60</v>
      </c>
      <c r="C33" s="17">
        <v>160</v>
      </c>
      <c r="D33" s="19" t="s">
        <v>28</v>
      </c>
      <c r="E33" s="10">
        <f>43</f>
        <v>43</v>
      </c>
      <c r="F33" s="10">
        <f>42+21</f>
        <v>63</v>
      </c>
      <c r="G33" s="10">
        <f>50+1</f>
        <v>51</v>
      </c>
      <c r="H33" s="9">
        <f t="shared" ref="H33" si="27">(E33+F33+G33)/3*0.38*1.73</f>
        <v>34.403933333333335</v>
      </c>
      <c r="I33" s="9">
        <f t="shared" ref="I33" si="28">H33/C33*100</f>
        <v>21.502458333333337</v>
      </c>
    </row>
    <row r="34" spans="1:9" x14ac:dyDescent="0.25">
      <c r="A34" s="15">
        <f t="shared" si="2"/>
        <v>22</v>
      </c>
      <c r="B34" s="16" t="s">
        <v>61</v>
      </c>
      <c r="C34" s="17">
        <v>250</v>
      </c>
      <c r="D34" s="16" t="s">
        <v>29</v>
      </c>
      <c r="E34" s="8">
        <f>20+83+146+8+52</f>
        <v>309</v>
      </c>
      <c r="F34" s="8">
        <f>3+62+62+1+43</f>
        <v>171</v>
      </c>
      <c r="G34" s="8">
        <f>5+44+68+2+29</f>
        <v>148</v>
      </c>
      <c r="H34" s="9">
        <f t="shared" ref="H34:H36" si="29">(E34+F34+G34)/3*0.38*1.73</f>
        <v>137.61573333333334</v>
      </c>
      <c r="I34" s="9">
        <f t="shared" ref="I34:I35" si="30">H34/C34*100</f>
        <v>55.046293333333338</v>
      </c>
    </row>
    <row r="35" spans="1:9" ht="30" x14ac:dyDescent="0.25">
      <c r="A35" s="46">
        <f t="shared" si="2"/>
        <v>23</v>
      </c>
      <c r="B35" s="48" t="s">
        <v>62</v>
      </c>
      <c r="C35" s="23">
        <v>400</v>
      </c>
      <c r="D35" s="19" t="s">
        <v>30</v>
      </c>
      <c r="E35" s="8">
        <f>16+1</f>
        <v>17</v>
      </c>
      <c r="F35" s="8">
        <f>2+1+18</f>
        <v>21</v>
      </c>
      <c r="G35" s="8">
        <f>1+25</f>
        <v>26</v>
      </c>
      <c r="H35" s="9">
        <f t="shared" si="29"/>
        <v>14.024533333333331</v>
      </c>
      <c r="I35" s="9">
        <f t="shared" si="30"/>
        <v>3.5061333333333327</v>
      </c>
    </row>
    <row r="36" spans="1:9" s="1" customFormat="1" x14ac:dyDescent="0.25">
      <c r="A36" s="47"/>
      <c r="B36" s="49"/>
      <c r="C36" s="24">
        <v>400</v>
      </c>
      <c r="D36" s="28"/>
      <c r="E36" s="13"/>
      <c r="F36" s="13"/>
      <c r="G36" s="13"/>
      <c r="H36" s="9">
        <f t="shared" si="29"/>
        <v>0</v>
      </c>
      <c r="I36" s="14">
        <f t="shared" ref="I36:I38" si="31">H36/C36*100</f>
        <v>0</v>
      </c>
    </row>
    <row r="37" spans="1:9" s="1" customFormat="1" ht="30" x14ac:dyDescent="0.25">
      <c r="A37" s="15">
        <v>24</v>
      </c>
      <c r="B37" s="16" t="s">
        <v>63</v>
      </c>
      <c r="C37" s="17">
        <v>400</v>
      </c>
      <c r="D37" s="22" t="s">
        <v>31</v>
      </c>
      <c r="E37" s="8">
        <f>33+31+5+32</f>
        <v>101</v>
      </c>
      <c r="F37" s="8">
        <f>27+28+27</f>
        <v>82</v>
      </c>
      <c r="G37" s="8">
        <f>27+26+7+36</f>
        <v>96</v>
      </c>
      <c r="H37" s="9">
        <f t="shared" ref="H37:H38" si="32">(E37+F37+G37)/3*0.38*1.73</f>
        <v>61.138200000000005</v>
      </c>
      <c r="I37" s="9">
        <f t="shared" si="31"/>
        <v>15.284550000000003</v>
      </c>
    </row>
    <row r="38" spans="1:9" s="1" customFormat="1" x14ac:dyDescent="0.25">
      <c r="A38" s="15">
        <v>25</v>
      </c>
      <c r="B38" s="16" t="s">
        <v>64</v>
      </c>
      <c r="C38" s="17">
        <v>250</v>
      </c>
      <c r="D38" s="29" t="s">
        <v>32</v>
      </c>
      <c r="E38" s="8">
        <f>6+1+252</f>
        <v>259</v>
      </c>
      <c r="F38" s="8">
        <f>250+10+8</f>
        <v>268</v>
      </c>
      <c r="G38" s="8">
        <f>252+10+8</f>
        <v>270</v>
      </c>
      <c r="H38" s="9">
        <f t="shared" si="32"/>
        <v>174.64926666666668</v>
      </c>
      <c r="I38" s="9">
        <f t="shared" si="31"/>
        <v>69.859706666666668</v>
      </c>
    </row>
    <row r="39" spans="1:9" x14ac:dyDescent="0.25">
      <c r="A39" s="15">
        <f t="shared" si="2"/>
        <v>26</v>
      </c>
      <c r="B39" s="16" t="s">
        <v>65</v>
      </c>
      <c r="C39" s="30">
        <v>630</v>
      </c>
      <c r="D39" s="31" t="s">
        <v>33</v>
      </c>
      <c r="E39" s="8">
        <v>5</v>
      </c>
      <c r="F39" s="8">
        <v>10</v>
      </c>
      <c r="G39" s="8">
        <v>7</v>
      </c>
      <c r="H39" s="14">
        <f>(E39+F39+G39)/3*0.38*1.73</f>
        <v>4.8209333333333335</v>
      </c>
      <c r="I39" s="54">
        <f>H39/C39*100</f>
        <v>0.76522751322751326</v>
      </c>
    </row>
    <row r="40" spans="1:9" x14ac:dyDescent="0.25">
      <c r="A40" s="15">
        <f t="shared" si="2"/>
        <v>27</v>
      </c>
      <c r="B40" s="32" t="s">
        <v>66</v>
      </c>
      <c r="C40" s="33">
        <v>160</v>
      </c>
      <c r="D40" s="32" t="s">
        <v>34</v>
      </c>
      <c r="E40" s="8">
        <v>5</v>
      </c>
      <c r="F40" s="8">
        <v>5</v>
      </c>
      <c r="G40" s="8">
        <v>5</v>
      </c>
      <c r="H40" s="14">
        <f>(E40+F40+G40)/3*0.38*1.73</f>
        <v>3.2869999999999999</v>
      </c>
      <c r="I40" s="54">
        <f>H40/C40*100</f>
        <v>2.0543749999999998</v>
      </c>
    </row>
    <row r="41" spans="1:9" x14ac:dyDescent="0.25">
      <c r="A41" s="11">
        <v>28</v>
      </c>
      <c r="B41" s="34" t="s">
        <v>67</v>
      </c>
      <c r="C41" s="8">
        <v>160</v>
      </c>
      <c r="D41" s="34" t="s">
        <v>35</v>
      </c>
      <c r="E41" s="8">
        <v>10</v>
      </c>
      <c r="F41" s="8">
        <v>5</v>
      </c>
      <c r="G41" s="8">
        <v>17</v>
      </c>
      <c r="H41" s="14">
        <f>(E41+F41+G41)/3*0.38*1.73</f>
        <v>7.0122666666666653</v>
      </c>
      <c r="I41" s="54">
        <f>H41/C41*100</f>
        <v>4.3826666666666663</v>
      </c>
    </row>
    <row r="42" spans="1:9" x14ac:dyDescent="0.25">
      <c r="A42" s="15">
        <v>26</v>
      </c>
      <c r="B42" s="35" t="s">
        <v>68</v>
      </c>
      <c r="C42" s="8">
        <v>25</v>
      </c>
      <c r="D42" s="36" t="s">
        <v>69</v>
      </c>
      <c r="E42" s="37">
        <v>15</v>
      </c>
      <c r="F42" s="37">
        <v>2</v>
      </c>
      <c r="G42" s="37">
        <v>12</v>
      </c>
      <c r="H42" s="14">
        <f t="shared" ref="H42:H43" si="33">(E42+F42+G42)/3*0.38*1.73</f>
        <v>6.3548666666666662</v>
      </c>
      <c r="I42" s="14">
        <f t="shared" ref="I42:I43" si="34">H42/C42*100</f>
        <v>25.419466666666661</v>
      </c>
    </row>
    <row r="43" spans="1:9" x14ac:dyDescent="0.25">
      <c r="A43" s="15">
        <f t="shared" ref="A43" si="35">1+A42</f>
        <v>27</v>
      </c>
      <c r="B43" s="35" t="s">
        <v>70</v>
      </c>
      <c r="C43" s="8">
        <v>250</v>
      </c>
      <c r="D43" s="36" t="s">
        <v>71</v>
      </c>
      <c r="E43" s="8">
        <v>20</v>
      </c>
      <c r="F43" s="8">
        <v>10</v>
      </c>
      <c r="G43" s="8">
        <v>28</v>
      </c>
      <c r="H43" s="14">
        <f t="shared" si="33"/>
        <v>12.709733333333332</v>
      </c>
      <c r="I43" s="14">
        <f t="shared" si="34"/>
        <v>5.0838933333333332</v>
      </c>
    </row>
  </sheetData>
  <mergeCells count="25">
    <mergeCell ref="A35:A36"/>
    <mergeCell ref="B35:B36"/>
    <mergeCell ref="A21:A22"/>
    <mergeCell ref="B21:B22"/>
    <mergeCell ref="A23:A24"/>
    <mergeCell ref="B23:B24"/>
    <mergeCell ref="A25:A26"/>
    <mergeCell ref="B25:B26"/>
    <mergeCell ref="A12:A13"/>
    <mergeCell ref="B12:B13"/>
    <mergeCell ref="A16:A17"/>
    <mergeCell ref="B16:B17"/>
    <mergeCell ref="A18:A19"/>
    <mergeCell ref="B18:B19"/>
    <mergeCell ref="C3:C5"/>
    <mergeCell ref="B3:B5"/>
    <mergeCell ref="A3:A5"/>
    <mergeCell ref="A1:I2"/>
    <mergeCell ref="A8:A9"/>
    <mergeCell ref="B8:B9"/>
    <mergeCell ref="E3:I3"/>
    <mergeCell ref="E4:G4"/>
    <mergeCell ref="H4:H5"/>
    <mergeCell ref="I4:I5"/>
    <mergeCell ref="D3:D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Бархансков Алексей</cp:lastModifiedBy>
  <cp:lastPrinted>2019-01-23T09:26:12Z</cp:lastPrinted>
  <dcterms:created xsi:type="dcterms:W3CDTF">2012-08-20T11:12:04Z</dcterms:created>
  <dcterms:modified xsi:type="dcterms:W3CDTF">2020-02-18T06:34:09Z</dcterms:modified>
</cp:coreProperties>
</file>